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mniaoutsourcing-my.sharepoint.com/personal/dale_simkiss_omniaoutsourcing_com/Documents/Desktop/"/>
    </mc:Choice>
  </mc:AlternateContent>
  <xr:revisionPtr revIDLastSave="10" documentId="8_{C79E9EC0-ABD7-4C9D-A4F4-D6B8445CFB20}" xr6:coauthVersionLast="47" xr6:coauthVersionMax="47" xr10:uidLastSave="{C9297AC5-E49C-FB41-B2BB-428BAF63FE88}"/>
  <workbookProtection workbookAlgorithmName="SHA-512" workbookHashValue="kKT8EMxo5jJTOIWWYwtafMjMqz1AALPlDM+fU2ZEW5DkrRN4JbZB/dO7j26LTaJxj0ztCJppu4pziwpVxR7w4A==" workbookSaltValue="z5eTeD163KWeNmod2Ax+8w==" workbookSpinCount="100000" lockStructure="1"/>
  <bookViews>
    <workbookView xWindow="-28920" yWindow="-120" windowWidth="29040" windowHeight="15840" xr2:uid="{00000000-000D-0000-FFFF-FFFF00000000}"/>
  </bookViews>
  <sheets>
    <sheet name="Min Rates  Apr 2022" sheetId="15" r:id="rId1"/>
    <sheet name="Take home Calculator 2022" sheetId="16" r:id="rId2"/>
  </sheets>
  <calcPr calcId="191028" iterate="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6" l="1"/>
  <c r="G13" i="16"/>
  <c r="C13" i="16"/>
  <c r="G11" i="16"/>
  <c r="E11" i="16"/>
  <c r="C11" i="16"/>
  <c r="C62" i="15"/>
  <c r="D22" i="15"/>
  <c r="D21" i="15"/>
  <c r="B21" i="15"/>
  <c r="E20" i="15"/>
  <c r="D20" i="15"/>
  <c r="D19" i="15"/>
  <c r="D18" i="15"/>
  <c r="D17" i="15"/>
  <c r="D16" i="15"/>
  <c r="B16" i="15"/>
  <c r="E17" i="15"/>
  <c r="B17" i="15"/>
  <c r="B18" i="15"/>
  <c r="G21" i="16"/>
  <c r="E16" i="15"/>
  <c r="G22" i="16"/>
  <c r="G26" i="16"/>
  <c r="B20" i="15"/>
  <c r="E19" i="15"/>
  <c r="B19" i="15"/>
  <c r="B22" i="15"/>
  <c r="B23" i="15"/>
  <c r="E18" i="15"/>
  <c r="C16" i="16"/>
  <c r="C28" i="16"/>
  <c r="E21" i="15"/>
  <c r="E22" i="15"/>
  <c r="C18" i="16"/>
  <c r="C24" i="16"/>
  <c r="C15" i="16"/>
  <c r="C17" i="16"/>
  <c r="C19" i="16"/>
  <c r="C21" i="16"/>
  <c r="C22" i="16"/>
  <c r="C23" i="16"/>
  <c r="C26" i="16"/>
  <c r="C27" i="16"/>
  <c r="C30" i="16"/>
</calcChain>
</file>

<file path=xl/sharedStrings.xml><?xml version="1.0" encoding="utf-8"?>
<sst xmlns="http://schemas.openxmlformats.org/spreadsheetml/2006/main" count="123" uniqueCount="58">
  <si>
    <t xml:space="preserve"> Omnia Min Rate calculator_revised 1 March 2022</t>
  </si>
  <si>
    <t>Pay rate</t>
  </si>
  <si>
    <t>Hours</t>
  </si>
  <si>
    <t>Min Wage April 2022</t>
  </si>
  <si>
    <t>Margin</t>
  </si>
  <si>
    <t>Over 23</t>
  </si>
  <si>
    <t>NLW</t>
  </si>
  <si>
    <t>Pensions</t>
  </si>
  <si>
    <t>Yes</t>
  </si>
  <si>
    <t>21-22</t>
  </si>
  <si>
    <t>NMW</t>
  </si>
  <si>
    <t>APL</t>
  </si>
  <si>
    <t>18-20</t>
  </si>
  <si>
    <t>Holiday</t>
  </si>
  <si>
    <t>Under 18</t>
  </si>
  <si>
    <t xml:space="preserve"> </t>
  </si>
  <si>
    <t>Under 21</t>
  </si>
  <si>
    <t>No</t>
  </si>
  <si>
    <t>Apprentice</t>
  </si>
  <si>
    <t>Umbrella rate</t>
  </si>
  <si>
    <t>No Pension Umbrella</t>
  </si>
  <si>
    <t>Gross</t>
  </si>
  <si>
    <t>Holiday pay</t>
  </si>
  <si>
    <t>Employers NI</t>
  </si>
  <si>
    <t>Employer Pension</t>
  </si>
  <si>
    <t>Apprentice Levy</t>
  </si>
  <si>
    <t>Total</t>
  </si>
  <si>
    <t>Min UMB rate</t>
  </si>
  <si>
    <t>PAYE</t>
  </si>
  <si>
    <t>Over 25's</t>
  </si>
  <si>
    <t>21-24 yrs</t>
  </si>
  <si>
    <t>18-20 yrs</t>
  </si>
  <si>
    <t>Pension</t>
  </si>
  <si>
    <t>Take home Pay Calculator &amp; Comparisons</t>
  </si>
  <si>
    <t>Umbrella rate</t>
  </si>
  <si>
    <t>Umbrella Margin</t>
  </si>
  <si>
    <t>PAYE Umbrella</t>
  </si>
  <si>
    <t>Sole Trader/CIS Sole Trader</t>
  </si>
  <si>
    <t>Gross to Umbrella</t>
  </si>
  <si>
    <t>Employer Costs</t>
  </si>
  <si>
    <t>Advanced</t>
  </si>
  <si>
    <t>Over 21</t>
  </si>
  <si>
    <t>Operative Gross</t>
  </si>
  <si>
    <t>Tax</t>
  </si>
  <si>
    <t>CIS Tax 20%</t>
  </si>
  <si>
    <t>NI</t>
  </si>
  <si>
    <t>EE Pension</t>
  </si>
  <si>
    <t>Take home</t>
  </si>
  <si>
    <t>(Including Advanced HP)</t>
  </si>
  <si>
    <t>Excluding HP Retained)</t>
  </si>
  <si>
    <t>Effective Pay rate</t>
  </si>
  <si>
    <t>Hybrid</t>
  </si>
  <si>
    <t>Retained</t>
  </si>
  <si>
    <t>No Holiday</t>
  </si>
  <si>
    <t>Inside</t>
  </si>
  <si>
    <t>Outside</t>
  </si>
  <si>
    <t>CIS</t>
  </si>
  <si>
    <t>NOT 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</si>
</sst>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PT Sans"/>
      <family val="2"/>
    </font>
    <font>
      <sz val="10"/>
      <color theme="1"/>
      <name val="PT Sans"/>
      <family val="2"/>
    </font>
    <font>
      <b/>
      <sz val="10"/>
      <color theme="1"/>
      <name val="PT Sans"/>
      <family val="2"/>
    </font>
    <font>
      <b/>
      <sz val="10"/>
      <color rgb="FFFF0000"/>
      <name val="PT Sans"/>
      <family val="2"/>
    </font>
    <font>
      <sz val="10"/>
      <name val="PT Sans"/>
      <family val="2"/>
    </font>
    <font>
      <b/>
      <u/>
      <sz val="10"/>
      <color rgb="FFFF0000"/>
      <name val="PT Sans"/>
      <family val="2"/>
    </font>
    <font>
      <b/>
      <u/>
      <sz val="10"/>
      <name val="PT Sans"/>
      <family val="2"/>
    </font>
    <font>
      <b/>
      <sz val="10"/>
      <name val="PT Sans"/>
      <family val="2"/>
    </font>
    <font>
      <b/>
      <sz val="10"/>
      <color theme="0"/>
      <name val="PT Sans"/>
      <family val="2"/>
    </font>
    <font>
      <sz val="10"/>
      <color theme="0"/>
      <name val="PT Sans"/>
      <family val="2"/>
    </font>
    <font>
      <b/>
      <u/>
      <sz val="10"/>
      <color theme="0"/>
      <name val="PT Sans"/>
      <family val="2"/>
    </font>
    <font>
      <b/>
      <u val="singleAccounting"/>
      <sz val="10"/>
      <color theme="0"/>
      <name val="PT Sans"/>
      <family val="2"/>
    </font>
    <font>
      <b/>
      <sz val="10"/>
      <color rgb="FF000000"/>
      <name val="PT Sans"/>
      <family val="2"/>
    </font>
    <font>
      <sz val="10"/>
      <color rgb="FF000000"/>
      <name val="PT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3">
    <xf numFmtId="0" fontId="0" fillId="0" borderId="0" xfId="0"/>
    <xf numFmtId="44" fontId="7" fillId="4" borderId="1" xfId="4" applyFont="1" applyFill="1" applyBorder="1" applyAlignment="1">
      <alignment horizontal="center"/>
    </xf>
    <xf numFmtId="0" fontId="9" fillId="4" borderId="0" xfId="0" applyFont="1" applyFill="1"/>
    <xf numFmtId="164" fontId="9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0" fontId="10" fillId="4" borderId="0" xfId="0" applyFont="1" applyFill="1"/>
    <xf numFmtId="8" fontId="7" fillId="4" borderId="0" xfId="0" applyNumberFormat="1" applyFont="1" applyFill="1"/>
    <xf numFmtId="3" fontId="7" fillId="4" borderId="0" xfId="0" applyNumberFormat="1" applyFont="1" applyFill="1" applyAlignment="1" applyProtection="1">
      <alignment horizontal="center"/>
      <protection locked="0"/>
    </xf>
    <xf numFmtId="0" fontId="10" fillId="4" borderId="1" xfId="0" applyFont="1" applyFill="1" applyBorder="1"/>
    <xf numFmtId="0" fontId="7" fillId="4" borderId="1" xfId="0" applyFont="1" applyFill="1" applyBorder="1"/>
    <xf numFmtId="44" fontId="7" fillId="4" borderId="1" xfId="4" applyFont="1" applyFill="1" applyBorder="1"/>
    <xf numFmtId="2" fontId="7" fillId="4" borderId="0" xfId="0" applyNumberFormat="1" applyFont="1" applyFill="1"/>
    <xf numFmtId="44" fontId="7" fillId="4" borderId="2" xfId="4" applyFont="1" applyFill="1" applyBorder="1" applyAlignment="1">
      <alignment horizontal="center"/>
    </xf>
    <xf numFmtId="2" fontId="9" fillId="4" borderId="0" xfId="0" applyNumberFormat="1" applyFont="1" applyFill="1"/>
    <xf numFmtId="164" fontId="7" fillId="4" borderId="0" xfId="0" applyNumberFormat="1" applyFont="1" applyFill="1" applyAlignment="1">
      <alignment horizontal="center"/>
    </xf>
    <xf numFmtId="164" fontId="10" fillId="4" borderId="0" xfId="0" applyNumberFormat="1" applyFont="1" applyFill="1"/>
    <xf numFmtId="165" fontId="7" fillId="4" borderId="1" xfId="0" applyNumberFormat="1" applyFont="1" applyFill="1" applyBorder="1"/>
    <xf numFmtId="164" fontId="11" fillId="6" borderId="1" xfId="0" applyNumberFormat="1" applyFont="1" applyFill="1" applyBorder="1" applyAlignment="1" applyProtection="1">
      <alignment horizontal="center"/>
      <protection locked="0"/>
    </xf>
    <xf numFmtId="4" fontId="12" fillId="6" borderId="1" xfId="0" applyNumberFormat="1" applyFont="1" applyFill="1" applyBorder="1" applyAlignment="1" applyProtection="1">
      <alignment horizontal="center"/>
      <protection locked="0"/>
    </xf>
    <xf numFmtId="164" fontId="12" fillId="6" borderId="1" xfId="0" applyNumberFormat="1" applyFont="1" applyFill="1" applyBorder="1" applyAlignment="1" applyProtection="1">
      <alignment horizontal="center"/>
      <protection locked="0"/>
    </xf>
    <xf numFmtId="3" fontId="12" fillId="6" borderId="1" xfId="0" applyNumberFormat="1" applyFont="1" applyFill="1" applyBorder="1" applyAlignment="1" applyProtection="1">
      <alignment horizontal="center"/>
      <protection locked="0"/>
    </xf>
    <xf numFmtId="0" fontId="11" fillId="7" borderId="4" xfId="0" applyFont="1" applyFill="1" applyBorder="1"/>
    <xf numFmtId="0" fontId="11" fillId="7" borderId="2" xfId="0" applyFont="1" applyFill="1" applyBorder="1"/>
    <xf numFmtId="165" fontId="13" fillId="7" borderId="2" xfId="0" applyNumberFormat="1" applyFont="1" applyFill="1" applyBorder="1"/>
    <xf numFmtId="0" fontId="10" fillId="4" borderId="15" xfId="0" applyFont="1" applyFill="1" applyBorder="1"/>
    <xf numFmtId="164" fontId="7" fillId="4" borderId="15" xfId="0" applyNumberFormat="1" applyFont="1" applyFill="1" applyBorder="1"/>
    <xf numFmtId="0" fontId="11" fillId="7" borderId="16" xfId="0" applyFont="1" applyFill="1" applyBorder="1"/>
    <xf numFmtId="165" fontId="14" fillId="7" borderId="17" xfId="0" quotePrefix="1" applyNumberFormat="1" applyFont="1" applyFill="1" applyBorder="1"/>
    <xf numFmtId="164" fontId="7" fillId="4" borderId="15" xfId="0" applyNumberFormat="1" applyFont="1" applyFill="1" applyBorder="1" applyAlignment="1">
      <alignment horizontal="center"/>
    </xf>
    <xf numFmtId="44" fontId="7" fillId="4" borderId="3" xfId="4" applyFont="1" applyFill="1" applyBorder="1"/>
    <xf numFmtId="164" fontId="7" fillId="4" borderId="18" xfId="0" applyNumberFormat="1" applyFont="1" applyFill="1" applyBorder="1"/>
    <xf numFmtId="44" fontId="7" fillId="4" borderId="3" xfId="4" applyFont="1" applyFill="1" applyBorder="1" applyAlignment="1">
      <alignment horizontal="center"/>
    </xf>
    <xf numFmtId="164" fontId="7" fillId="4" borderId="18" xfId="0" applyNumberFormat="1" applyFont="1" applyFill="1" applyBorder="1" applyAlignment="1">
      <alignment horizontal="center"/>
    </xf>
    <xf numFmtId="0" fontId="12" fillId="4" borderId="0" xfId="0" applyFont="1" applyFill="1"/>
    <xf numFmtId="164" fontId="12" fillId="4" borderId="0" xfId="0" applyNumberFormat="1" applyFont="1" applyFill="1" applyAlignment="1">
      <alignment horizontal="center"/>
    </xf>
    <xf numFmtId="164" fontId="12" fillId="4" borderId="0" xfId="0" applyNumberFormat="1" applyFont="1" applyFill="1"/>
    <xf numFmtId="0" fontId="12" fillId="4" borderId="0" xfId="0" applyFont="1" applyFill="1" applyProtection="1">
      <protection hidden="1"/>
    </xf>
    <xf numFmtId="164" fontId="12" fillId="4" borderId="0" xfId="0" applyNumberFormat="1" applyFont="1" applyFill="1" applyAlignment="1" applyProtection="1">
      <alignment horizontal="center"/>
      <protection hidden="1"/>
    </xf>
    <xf numFmtId="8" fontId="12" fillId="4" borderId="0" xfId="0" applyNumberFormat="1" applyFont="1" applyFill="1" applyProtection="1">
      <protection hidden="1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5" fillId="0" borderId="0" xfId="0" applyFont="1"/>
    <xf numFmtId="165" fontId="4" fillId="5" borderId="0" xfId="0" applyNumberFormat="1" applyFont="1" applyFill="1" applyAlignment="1" applyProtection="1">
      <alignment horizontal="center"/>
      <protection locked="0"/>
    </xf>
    <xf numFmtId="8" fontId="4" fillId="0" borderId="0" xfId="0" applyNumberFormat="1" applyFont="1"/>
    <xf numFmtId="0" fontId="11" fillId="7" borderId="5" xfId="0" applyFont="1" applyFill="1" applyBorder="1"/>
    <xf numFmtId="0" fontId="11" fillId="7" borderId="6" xfId="0" applyFont="1" applyFill="1" applyBorder="1"/>
    <xf numFmtId="165" fontId="12" fillId="7" borderId="7" xfId="0" applyNumberFormat="1" applyFont="1" applyFill="1" applyBorder="1" applyAlignment="1">
      <alignment horizontal="center"/>
    </xf>
    <xf numFmtId="0" fontId="4" fillId="0" borderId="8" xfId="0" applyFont="1" applyBorder="1"/>
    <xf numFmtId="165" fontId="5" fillId="0" borderId="9" xfId="0" applyNumberFormat="1" applyFont="1" applyBorder="1" applyAlignment="1">
      <alignment horizontal="center"/>
    </xf>
    <xf numFmtId="165" fontId="15" fillId="0" borderId="9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0" fontId="5" fillId="0" borderId="8" xfId="0" applyFont="1" applyBorder="1"/>
    <xf numFmtId="3" fontId="12" fillId="2" borderId="0" xfId="0" applyNumberFormat="1" applyFont="1" applyFill="1" applyAlignment="1" applyProtection="1">
      <alignment horizontal="center"/>
      <protection locked="0"/>
    </xf>
    <xf numFmtId="164" fontId="12" fillId="2" borderId="0" xfId="0" applyNumberFormat="1" applyFont="1" applyFill="1" applyAlignment="1" applyProtection="1">
      <alignment horizontal="center"/>
      <protection locked="0"/>
    </xf>
    <xf numFmtId="165" fontId="7" fillId="0" borderId="9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16" fillId="0" borderId="8" xfId="0" applyFont="1" applyBorder="1"/>
    <xf numFmtId="0" fontId="12" fillId="2" borderId="0" xfId="0" applyFont="1" applyFill="1" applyProtection="1">
      <protection locked="0"/>
    </xf>
    <xf numFmtId="0" fontId="6" fillId="0" borderId="8" xfId="0" applyFont="1" applyBorder="1"/>
    <xf numFmtId="0" fontId="6" fillId="0" borderId="0" xfId="0" applyFont="1"/>
    <xf numFmtId="165" fontId="8" fillId="0" borderId="9" xfId="0" applyNumberFormat="1" applyFont="1" applyBorder="1" applyAlignment="1">
      <alignment horizontal="center"/>
    </xf>
    <xf numFmtId="0" fontId="16" fillId="0" borderId="0" xfId="0" applyFont="1"/>
    <xf numFmtId="165" fontId="10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165" fontId="5" fillId="0" borderId="12" xfId="0" applyNumberFormat="1" applyFont="1" applyBorder="1" applyAlignment="1">
      <alignment horizontal="center"/>
    </xf>
    <xf numFmtId="0" fontId="11" fillId="7" borderId="10" xfId="0" applyFont="1" applyFill="1" applyBorder="1"/>
    <xf numFmtId="0" fontId="11" fillId="7" borderId="11" xfId="0" applyFont="1" applyFill="1" applyBorder="1"/>
    <xf numFmtId="165" fontId="11" fillId="7" borderId="12" xfId="0" applyNumberFormat="1" applyFont="1" applyFill="1" applyBorder="1" applyAlignment="1">
      <alignment horizontal="center"/>
    </xf>
    <xf numFmtId="165" fontId="3" fillId="0" borderId="0" xfId="0" applyNumberFormat="1" applyFont="1"/>
    <xf numFmtId="165" fontId="5" fillId="0" borderId="0" xfId="0" applyNumberFormat="1" applyFont="1" applyAlignment="1">
      <alignment horizontal="center"/>
    </xf>
    <xf numFmtId="4" fontId="4" fillId="0" borderId="0" xfId="0" applyNumberFormat="1" applyFont="1"/>
    <xf numFmtId="165" fontId="8" fillId="0" borderId="0" xfId="0" applyNumberFormat="1" applyFont="1" applyAlignment="1">
      <alignment horizontal="center"/>
    </xf>
    <xf numFmtId="0" fontId="4" fillId="0" borderId="0" xfId="0" applyFont="1" applyProtection="1">
      <protection hidden="1"/>
    </xf>
    <xf numFmtId="165" fontId="4" fillId="0" borderId="0" xfId="0" applyNumberFormat="1" applyFont="1" applyAlignment="1" applyProtection="1">
      <alignment horizontal="center"/>
      <protection hidden="1"/>
    </xf>
    <xf numFmtId="8" fontId="4" fillId="0" borderId="0" xfId="0" applyNumberFormat="1" applyFont="1" applyProtection="1">
      <protection hidden="1"/>
    </xf>
    <xf numFmtId="0" fontId="12" fillId="7" borderId="4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</cellXfs>
  <cellStyles count="5">
    <cellStyle name="Comma 2" xfId="2" xr:uid="{00000000-0005-0000-0000-000000000000}"/>
    <cellStyle name="Currency" xfId="4" builtinId="4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colors>
    <mruColors>
      <color rgb="FFFF0000"/>
      <color rgb="FFFF3300"/>
      <color rgb="FFFF2121"/>
      <color rgb="FFF2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4</xdr:row>
      <xdr:rowOff>7620</xdr:rowOff>
    </xdr:from>
    <xdr:to>
      <xdr:col>2</xdr:col>
      <xdr:colOff>129750</xdr:colOff>
      <xdr:row>6</xdr:row>
      <xdr:rowOff>65290</xdr:rowOff>
    </xdr:to>
    <xdr:sp macro="" textlink="">
      <xdr:nvSpPr>
        <xdr:cNvPr id="2" name="List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A104AF42-19B4-4F26-B5AD-0B2D47509DE5}"/>
            </a:ext>
          </a:extLst>
        </xdr:cNvPr>
        <xdr:cNvSpPr/>
      </xdr:nvSpPr>
      <xdr:spPr bwMode="auto">
        <a:xfrm>
          <a:off x="1135380" y="922020"/>
          <a:ext cx="879627" cy="41529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0</xdr:colOff>
      <xdr:row>4</xdr:row>
      <xdr:rowOff>0</xdr:rowOff>
    </xdr:from>
    <xdr:to>
      <xdr:col>5</xdr:col>
      <xdr:colOff>165045</xdr:colOff>
      <xdr:row>8</xdr:row>
      <xdr:rowOff>103997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A65A20-9F51-4EF5-9332-E923F4B2B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455" y="692727"/>
          <a:ext cx="2189020" cy="802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4</xdr:row>
      <xdr:rowOff>7620</xdr:rowOff>
    </xdr:from>
    <xdr:to>
      <xdr:col>1</xdr:col>
      <xdr:colOff>936988</xdr:colOff>
      <xdr:row>6</xdr:row>
      <xdr:rowOff>60615</xdr:rowOff>
    </xdr:to>
    <xdr:sp macro="" textlink="">
      <xdr:nvSpPr>
        <xdr:cNvPr id="2" name="List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31622602-0553-45CD-A711-5A2FB8BEEACE}"/>
            </a:ext>
          </a:extLst>
        </xdr:cNvPr>
        <xdr:cNvSpPr/>
      </xdr:nvSpPr>
      <xdr:spPr bwMode="auto">
        <a:xfrm>
          <a:off x="1303020" y="922020"/>
          <a:ext cx="923653" cy="4144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0</xdr:colOff>
      <xdr:row>3</xdr:row>
      <xdr:rowOff>0</xdr:rowOff>
    </xdr:from>
    <xdr:to>
      <xdr:col>5</xdr:col>
      <xdr:colOff>820018</xdr:colOff>
      <xdr:row>7</xdr:row>
      <xdr:rowOff>98282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2E7270-8C63-4AB3-8468-D5560E309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6873" y="720436"/>
          <a:ext cx="2189020" cy="80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5402-D02A-405F-B43A-7E6238F97853}">
  <dimension ref="A2:I80"/>
  <sheetViews>
    <sheetView showGridLines="0" tabSelected="1" topLeftCell="A4" zoomScale="110" zoomScaleNormal="110" workbookViewId="0">
      <selection activeCell="B11" sqref="B11"/>
    </sheetView>
  </sheetViews>
  <sheetFormatPr defaultColWidth="8.7109375" defaultRowHeight="14.25"/>
  <cols>
    <col min="1" max="1" width="16.5703125" style="4" bestFit="1" customWidth="1"/>
    <col min="2" max="2" width="11.140625" style="15" bestFit="1" customWidth="1"/>
    <col min="3" max="3" width="9.28515625" style="4" bestFit="1" customWidth="1"/>
    <col min="4" max="4" width="20.140625" style="4" customWidth="1"/>
    <col min="5" max="5" width="9.42578125" style="5" bestFit="1" customWidth="1"/>
    <col min="6" max="6" width="9.140625" style="4" bestFit="1" customWidth="1"/>
    <col min="7" max="7" width="15.7109375" style="4" bestFit="1" customWidth="1"/>
    <col min="8" max="8" width="8.7109375" style="4" bestFit="1" customWidth="1"/>
    <col min="9" max="16384" width="8.7109375" style="4"/>
  </cols>
  <sheetData>
    <row r="2" spans="1:9">
      <c r="A2" s="2" t="s">
        <v>0</v>
      </c>
      <c r="B2" s="3"/>
      <c r="C2" s="2"/>
    </row>
    <row r="5" spans="1:9">
      <c r="A5" s="9" t="s">
        <v>1</v>
      </c>
      <c r="B5" s="18">
        <v>9.5</v>
      </c>
      <c r="C5" s="7"/>
    </row>
    <row r="6" spans="1:9">
      <c r="A6" s="9" t="s">
        <v>2</v>
      </c>
      <c r="B6" s="19">
        <v>40</v>
      </c>
      <c r="C6" s="7"/>
      <c r="G6" s="80" t="s">
        <v>3</v>
      </c>
      <c r="H6" s="81"/>
      <c r="I6" s="82"/>
    </row>
    <row r="7" spans="1:9">
      <c r="A7" s="9" t="s">
        <v>4</v>
      </c>
      <c r="B7" s="20">
        <v>15</v>
      </c>
      <c r="C7" s="7"/>
      <c r="G7" s="10" t="s">
        <v>5</v>
      </c>
      <c r="H7" s="17">
        <v>9.5</v>
      </c>
      <c r="I7" s="10" t="s">
        <v>6</v>
      </c>
    </row>
    <row r="8" spans="1:9">
      <c r="A8" s="9" t="s">
        <v>7</v>
      </c>
      <c r="B8" s="20" t="s">
        <v>8</v>
      </c>
      <c r="G8" s="10" t="s">
        <v>9</v>
      </c>
      <c r="H8" s="11">
        <v>9.18</v>
      </c>
      <c r="I8" s="10" t="s">
        <v>10</v>
      </c>
    </row>
    <row r="9" spans="1:9">
      <c r="A9" s="9" t="s">
        <v>11</v>
      </c>
      <c r="B9" s="20" t="s">
        <v>8</v>
      </c>
      <c r="G9" s="10" t="s">
        <v>12</v>
      </c>
      <c r="H9" s="11">
        <v>6.83</v>
      </c>
      <c r="I9" s="10" t="s">
        <v>10</v>
      </c>
    </row>
    <row r="10" spans="1:9">
      <c r="A10" s="9" t="s">
        <v>13</v>
      </c>
      <c r="B10" s="21" t="s">
        <v>8</v>
      </c>
      <c r="G10" s="10" t="s">
        <v>14</v>
      </c>
      <c r="H10" s="11">
        <v>4.8099999999999996</v>
      </c>
      <c r="I10" s="10" t="s">
        <v>10</v>
      </c>
    </row>
    <row r="11" spans="1:9">
      <c r="A11" s="6"/>
      <c r="B11" s="8"/>
      <c r="G11" s="4" t="s">
        <v>15</v>
      </c>
    </row>
    <row r="12" spans="1:9">
      <c r="A12" s="9" t="s">
        <v>16</v>
      </c>
      <c r="B12" s="20" t="s">
        <v>17</v>
      </c>
      <c r="G12" s="10" t="s">
        <v>18</v>
      </c>
      <c r="H12" s="11">
        <v>4.8099999999999996</v>
      </c>
      <c r="I12" s="10" t="s">
        <v>10</v>
      </c>
    </row>
    <row r="15" spans="1:9">
      <c r="A15" s="22" t="s">
        <v>19</v>
      </c>
      <c r="B15" s="33"/>
      <c r="D15" s="22" t="s">
        <v>20</v>
      </c>
      <c r="E15" s="31" t="s">
        <v>15</v>
      </c>
      <c r="G15" s="4" t="s">
        <v>15</v>
      </c>
    </row>
    <row r="16" spans="1:9">
      <c r="A16" s="10" t="s">
        <v>21</v>
      </c>
      <c r="B16" s="32">
        <f>B5*B6</f>
        <v>380</v>
      </c>
      <c r="D16" s="10" t="str">
        <f>A16</f>
        <v>Gross</v>
      </c>
      <c r="E16" s="30">
        <f>B16</f>
        <v>380</v>
      </c>
      <c r="H16" s="12"/>
    </row>
    <row r="17" spans="1:8">
      <c r="A17" s="10" t="s">
        <v>22</v>
      </c>
      <c r="B17" s="1">
        <f>IF(B10=B72,(B16*12.55%),0)</f>
        <v>47.69</v>
      </c>
      <c r="D17" s="10" t="str">
        <f>A17</f>
        <v>Holiday pay</v>
      </c>
      <c r="E17" s="11">
        <f>IF(B10=B72,(B16*12.55%),0)</f>
        <v>47.69</v>
      </c>
      <c r="H17" s="12"/>
    </row>
    <row r="18" spans="1:8">
      <c r="A18" s="10" t="s">
        <v>23</v>
      </c>
      <c r="B18" s="1">
        <f>IF(B12="Yes", 0, MAX(0,B16+B17-175)*15.05%)</f>
        <v>38.029845000000002</v>
      </c>
      <c r="D18" s="10" t="str">
        <f>A18</f>
        <v>Employers NI</v>
      </c>
      <c r="E18" s="11">
        <f>B18</f>
        <v>38.029845000000002</v>
      </c>
      <c r="H18" s="12"/>
    </row>
    <row r="19" spans="1:8">
      <c r="A19" s="10" t="s">
        <v>24</v>
      </c>
      <c r="B19" s="1">
        <f>IF(B8=B72,(B16+B17-123)*3%,0)</f>
        <v>9.1406999999999989</v>
      </c>
      <c r="D19" s="10" t="str">
        <f>A20</f>
        <v>Apprentice Levy</v>
      </c>
      <c r="E19" s="11">
        <f>B20</f>
        <v>2.1384500000000002</v>
      </c>
      <c r="H19" s="12"/>
    </row>
    <row r="20" spans="1:8">
      <c r="A20" s="10" t="s">
        <v>25</v>
      </c>
      <c r="B20" s="1">
        <f>IF(B9=B72,(B16+B17)*0.5%,0)</f>
        <v>2.1384500000000002</v>
      </c>
      <c r="D20" s="9" t="str">
        <f>A21</f>
        <v>Margin</v>
      </c>
      <c r="E20" s="11">
        <f>B21</f>
        <v>15</v>
      </c>
      <c r="H20" s="12"/>
    </row>
    <row r="21" spans="1:8">
      <c r="A21" s="9" t="s">
        <v>4</v>
      </c>
      <c r="B21" s="1">
        <f>+$B$7</f>
        <v>15</v>
      </c>
      <c r="D21" s="10" t="str">
        <f>A22</f>
        <v>Total</v>
      </c>
      <c r="E21" s="11">
        <f>E16+E17+E18+E19+E20</f>
        <v>482.858295</v>
      </c>
      <c r="H21" s="12"/>
    </row>
    <row r="22" spans="1:8">
      <c r="A22" s="10" t="s">
        <v>26</v>
      </c>
      <c r="B22" s="13">
        <f>SUM(B16:B21)</f>
        <v>491.99899499999998</v>
      </c>
      <c r="D22" s="23" t="str">
        <f>A23</f>
        <v>Min UMB rate</v>
      </c>
      <c r="E22" s="24">
        <f>ROUNDUP((+E21/LEFT(B6,2)*1),2)</f>
        <v>12.08</v>
      </c>
      <c r="H22" s="12"/>
    </row>
    <row r="23" spans="1:8" ht="16.5">
      <c r="A23" s="27" t="s">
        <v>27</v>
      </c>
      <c r="B23" s="28">
        <f>ROUNDUP((+B22/LEFT(B6,2)*1),2)</f>
        <v>12.299999999999999</v>
      </c>
      <c r="D23" s="25" t="s">
        <v>15</v>
      </c>
      <c r="E23" s="26" t="s">
        <v>15</v>
      </c>
      <c r="H23" s="12"/>
    </row>
    <row r="24" spans="1:8">
      <c r="A24" s="25" t="s">
        <v>15</v>
      </c>
      <c r="B24" s="29" t="s">
        <v>15</v>
      </c>
      <c r="H24" s="14"/>
    </row>
    <row r="25" spans="1:8">
      <c r="A25" s="4" t="s">
        <v>15</v>
      </c>
      <c r="B25" s="15" t="s">
        <v>15</v>
      </c>
      <c r="H25" s="7"/>
    </row>
    <row r="27" spans="1:8">
      <c r="B27" s="15" t="s">
        <v>15</v>
      </c>
    </row>
    <row r="28" spans="1:8">
      <c r="D28" s="2"/>
      <c r="E28" s="16"/>
      <c r="G28" s="6"/>
    </row>
    <row r="30" spans="1:8">
      <c r="H30" s="12"/>
    </row>
    <row r="31" spans="1:8">
      <c r="H31" s="12"/>
    </row>
    <row r="32" spans="1:8">
      <c r="H32" s="12"/>
    </row>
    <row r="33" spans="5:8">
      <c r="H33" s="12"/>
    </row>
    <row r="34" spans="5:8">
      <c r="H34" s="12"/>
    </row>
    <row r="35" spans="5:8">
      <c r="E35" s="3"/>
      <c r="H35" s="14"/>
    </row>
    <row r="36" spans="5:8">
      <c r="H36" s="7"/>
    </row>
    <row r="54" spans="1:5" s="34" customFormat="1">
      <c r="B54" s="35"/>
      <c r="E54" s="36"/>
    </row>
    <row r="55" spans="1:5" s="34" customFormat="1">
      <c r="A55" s="37"/>
      <c r="B55" s="38"/>
      <c r="C55" s="37"/>
      <c r="D55" s="37"/>
      <c r="E55" s="36"/>
    </row>
    <row r="56" spans="1:5" s="34" customFormat="1">
      <c r="A56" s="37"/>
      <c r="B56" s="38"/>
      <c r="C56" s="37" t="s">
        <v>28</v>
      </c>
      <c r="D56" s="37"/>
      <c r="E56" s="36"/>
    </row>
    <row r="57" spans="1:5" s="34" customFormat="1">
      <c r="A57" s="37"/>
      <c r="B57" s="38" t="s">
        <v>15</v>
      </c>
      <c r="C57" s="39" t="s">
        <v>15</v>
      </c>
      <c r="D57" s="39" t="s">
        <v>15</v>
      </c>
      <c r="E57" s="36"/>
    </row>
    <row r="58" spans="1:5" s="34" customFormat="1">
      <c r="A58" s="37">
        <v>1</v>
      </c>
      <c r="B58" s="38" t="s">
        <v>29</v>
      </c>
      <c r="C58" s="39">
        <v>8.2100000000000009</v>
      </c>
      <c r="D58" s="39">
        <v>8.2100000000000009</v>
      </c>
      <c r="E58" s="36"/>
    </row>
    <row r="59" spans="1:5" s="34" customFormat="1">
      <c r="A59" s="37">
        <v>2</v>
      </c>
      <c r="B59" s="38" t="s">
        <v>30</v>
      </c>
      <c r="C59" s="39">
        <v>7.7</v>
      </c>
      <c r="D59" s="39">
        <v>7.7</v>
      </c>
      <c r="E59" s="36"/>
    </row>
    <row r="60" spans="1:5" s="34" customFormat="1">
      <c r="A60" s="37">
        <v>3</v>
      </c>
      <c r="B60" s="38" t="s">
        <v>31</v>
      </c>
      <c r="C60" s="39">
        <v>6.15</v>
      </c>
      <c r="D60" s="39">
        <v>6.15</v>
      </c>
      <c r="E60" s="36"/>
    </row>
    <row r="61" spans="1:5" s="34" customFormat="1">
      <c r="A61" s="37"/>
      <c r="B61" s="38"/>
      <c r="C61" s="37"/>
      <c r="D61" s="37"/>
      <c r="E61" s="36"/>
    </row>
    <row r="62" spans="1:5" s="34" customFormat="1">
      <c r="A62" s="37"/>
      <c r="B62" s="38">
        <v>4</v>
      </c>
      <c r="C62" s="37">
        <f>VLOOKUP(B62,A63:B69,2,FALSE)</f>
        <v>17.5</v>
      </c>
      <c r="D62" s="37"/>
      <c r="E62" s="36"/>
    </row>
    <row r="63" spans="1:5" s="34" customFormat="1">
      <c r="A63" s="37">
        <v>1</v>
      </c>
      <c r="B63" s="38">
        <v>30</v>
      </c>
      <c r="C63" s="37"/>
      <c r="D63" s="37"/>
      <c r="E63" s="36"/>
    </row>
    <row r="64" spans="1:5" s="34" customFormat="1">
      <c r="A64" s="37">
        <v>2</v>
      </c>
      <c r="B64" s="38">
        <v>25</v>
      </c>
      <c r="C64" s="37"/>
      <c r="D64" s="37"/>
      <c r="E64" s="36"/>
    </row>
    <row r="65" spans="1:5" s="34" customFormat="1">
      <c r="A65" s="37">
        <v>3</v>
      </c>
      <c r="B65" s="38">
        <v>20</v>
      </c>
      <c r="C65" s="37"/>
      <c r="D65" s="37"/>
      <c r="E65" s="36"/>
    </row>
    <row r="66" spans="1:5" s="34" customFormat="1">
      <c r="A66" s="37">
        <v>4</v>
      </c>
      <c r="B66" s="38">
        <v>17.5</v>
      </c>
      <c r="C66" s="37"/>
      <c r="D66" s="37"/>
      <c r="E66" s="36"/>
    </row>
    <row r="67" spans="1:5" s="34" customFormat="1">
      <c r="A67" s="37">
        <v>5</v>
      </c>
      <c r="B67" s="38">
        <v>16.989999999999998</v>
      </c>
      <c r="C67" s="37"/>
      <c r="D67" s="37"/>
      <c r="E67" s="36"/>
    </row>
    <row r="68" spans="1:5" s="34" customFormat="1">
      <c r="A68" s="37">
        <v>6</v>
      </c>
      <c r="B68" s="38">
        <v>15</v>
      </c>
      <c r="C68" s="37"/>
      <c r="D68" s="37"/>
      <c r="E68" s="36"/>
    </row>
    <row r="69" spans="1:5" s="34" customFormat="1">
      <c r="A69" s="37">
        <v>7</v>
      </c>
      <c r="B69" s="38">
        <v>10</v>
      </c>
      <c r="C69" s="37"/>
      <c r="D69" s="37"/>
      <c r="E69" s="36"/>
    </row>
    <row r="70" spans="1:5" s="34" customFormat="1">
      <c r="A70" s="37">
        <v>8</v>
      </c>
      <c r="B70" s="38">
        <v>5</v>
      </c>
      <c r="C70" s="37"/>
      <c r="D70" s="37"/>
      <c r="E70" s="36"/>
    </row>
    <row r="71" spans="1:5" s="34" customFormat="1">
      <c r="A71" s="37"/>
      <c r="B71" s="38"/>
      <c r="C71" s="37"/>
      <c r="D71" s="37"/>
      <c r="E71" s="36"/>
    </row>
    <row r="72" spans="1:5" s="34" customFormat="1">
      <c r="A72" s="37" t="s">
        <v>32</v>
      </c>
      <c r="B72" s="38" t="s">
        <v>8</v>
      </c>
      <c r="C72" s="37"/>
      <c r="D72" s="37"/>
      <c r="E72" s="36"/>
    </row>
    <row r="73" spans="1:5" s="34" customFormat="1">
      <c r="A73" s="37"/>
      <c r="B73" s="38" t="s">
        <v>17</v>
      </c>
      <c r="C73" s="37"/>
      <c r="D73" s="37"/>
      <c r="E73" s="36"/>
    </row>
    <row r="74" spans="1:5" s="34" customFormat="1">
      <c r="A74" s="37" t="s">
        <v>11</v>
      </c>
      <c r="B74" s="38" t="s">
        <v>8</v>
      </c>
      <c r="C74" s="37"/>
      <c r="D74" s="37"/>
      <c r="E74" s="36"/>
    </row>
    <row r="75" spans="1:5" s="34" customFormat="1">
      <c r="A75" s="37"/>
      <c r="B75" s="38" t="s">
        <v>17</v>
      </c>
      <c r="C75" s="37"/>
      <c r="D75" s="37"/>
      <c r="E75" s="36"/>
    </row>
    <row r="76" spans="1:5" s="34" customFormat="1">
      <c r="A76" s="37"/>
      <c r="B76" s="38"/>
      <c r="C76" s="37"/>
      <c r="D76" s="37"/>
      <c r="E76" s="36"/>
    </row>
    <row r="77" spans="1:5" s="34" customFormat="1">
      <c r="A77" s="37"/>
      <c r="B77" s="38"/>
      <c r="C77" s="37"/>
      <c r="D77" s="37"/>
      <c r="E77" s="36"/>
    </row>
    <row r="78" spans="1:5" s="34" customFormat="1">
      <c r="B78" s="35"/>
      <c r="E78" s="36"/>
    </row>
    <row r="79" spans="1:5" s="34" customFormat="1">
      <c r="B79" s="35"/>
      <c r="E79" s="36"/>
    </row>
    <row r="80" spans="1:5" s="34" customFormat="1">
      <c r="B80" s="35"/>
      <c r="E80" s="36"/>
    </row>
  </sheetData>
  <sheetProtection algorithmName="SHA-512" hashValue="j1x5+ke/eoXPEA82pbQuT/kfRI1zYPb/IeiS0MimzfMkSfcPQxNUkDBfWHkqE9u4u7Z3NIsKYKJId2Yp2zAAbA==" saltValue="kgsRzYyRmQPSJ90K4bbS7w==" spinCount="100000" sheet="1" selectLockedCells="1"/>
  <mergeCells count="1">
    <mergeCell ref="G6:I6"/>
  </mergeCells>
  <dataValidations count="4">
    <dataValidation type="list" allowBlank="1" showInputMessage="1" showErrorMessage="1" sqref="B9" xr:uid="{8985264A-DA1B-4A92-8E63-FED96BAD5C06}">
      <formula1>$B$74:$B$75</formula1>
    </dataValidation>
    <dataValidation type="list" allowBlank="1" showInputMessage="1" showErrorMessage="1" sqref="B8 B10" xr:uid="{E8980474-7B3B-4465-B291-30F1B7084D3C}">
      <formula1>$B$72:$B$73</formula1>
    </dataValidation>
    <dataValidation allowBlank="1" showInputMessage="1" showErrorMessage="1" promptTitle="Pay  rate" prompt="Input pay rate or NLW/NMW" sqref="B5" xr:uid="{D2C141F9-CEB3-4A88-9716-7328F49363B5}"/>
    <dataValidation type="list" allowBlank="1" showInputMessage="1" showErrorMessage="1" promptTitle="Under 21?" prompt="ERs NI not applicable" sqref="B12" xr:uid="{020CB319-05D5-4584-861F-46576781A23C}">
      <formula1>$B$74:$B$75</formula1>
    </dataValidation>
  </dataValidations>
  <pageMargins left="0.7" right="0.7" top="0.75" bottom="0.75" header="0.3" footer="0.3"/>
  <pageSetup paperSize="9" orientation="landscape" r:id="rId1"/>
  <ignoredErrors>
    <ignoredError sqref="E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2E49-6030-4EA1-8DB2-5D45303D0764}">
  <dimension ref="A2:H92"/>
  <sheetViews>
    <sheetView showGridLines="0" zoomScale="110" zoomScaleNormal="110" workbookViewId="0">
      <selection activeCell="B18" sqref="B18"/>
    </sheetView>
  </sheetViews>
  <sheetFormatPr defaultColWidth="8.7109375" defaultRowHeight="14.25"/>
  <cols>
    <col min="1" max="1" width="18.85546875" style="42" customWidth="1"/>
    <col min="2" max="2" width="15.28515625" style="42" customWidth="1"/>
    <col min="3" max="3" width="11" style="43" bestFit="1" customWidth="1"/>
    <col min="4" max="4" width="9.140625" style="42" bestFit="1" customWidth="1"/>
    <col min="5" max="5" width="20.140625" style="42" customWidth="1"/>
    <col min="6" max="6" width="14.85546875" style="42" customWidth="1"/>
    <col min="7" max="7" width="13.140625" style="43" customWidth="1"/>
    <col min="8" max="9" width="9.140625" style="42" bestFit="1" customWidth="1"/>
    <col min="10" max="16384" width="8.7109375" style="42"/>
  </cols>
  <sheetData>
    <row r="2" spans="1:7">
      <c r="A2" s="40" t="s">
        <v>33</v>
      </c>
      <c r="B2" s="40"/>
      <c r="C2" s="41"/>
      <c r="D2" s="40"/>
    </row>
    <row r="5" spans="1:7">
      <c r="A5" s="44" t="s">
        <v>34</v>
      </c>
      <c r="B5" s="45">
        <v>12.19</v>
      </c>
      <c r="D5" s="46"/>
    </row>
    <row r="6" spans="1:7">
      <c r="A6" s="44" t="s">
        <v>2</v>
      </c>
      <c r="B6" s="45">
        <v>40</v>
      </c>
      <c r="D6" s="46"/>
    </row>
    <row r="7" spans="1:7">
      <c r="A7" s="44" t="s">
        <v>35</v>
      </c>
      <c r="B7" s="45">
        <v>15</v>
      </c>
      <c r="D7" s="46"/>
    </row>
    <row r="8" spans="1:7">
      <c r="A8" s="44"/>
      <c r="B8" s="44"/>
    </row>
    <row r="9" spans="1:7" ht="15" thickBot="1">
      <c r="A9" s="44"/>
      <c r="B9" s="44"/>
    </row>
    <row r="10" spans="1:7">
      <c r="A10" s="47" t="s">
        <v>36</v>
      </c>
      <c r="B10" s="48" t="s">
        <v>15</v>
      </c>
      <c r="C10" s="49"/>
      <c r="E10" s="47" t="s">
        <v>37</v>
      </c>
      <c r="F10" s="48"/>
      <c r="G10" s="49" t="s">
        <v>15</v>
      </c>
    </row>
    <row r="11" spans="1:7">
      <c r="A11" s="50" t="s">
        <v>38</v>
      </c>
      <c r="C11" s="51">
        <f>B5*B6</f>
        <v>487.59999999999997</v>
      </c>
      <c r="E11" s="50" t="str">
        <f>A11</f>
        <v>Gross to Umbrella</v>
      </c>
      <c r="G11" s="52">
        <f>B5*B6</f>
        <v>487.59999999999997</v>
      </c>
    </row>
    <row r="12" spans="1:7">
      <c r="A12" s="50"/>
      <c r="C12" s="53"/>
      <c r="E12" s="50"/>
      <c r="G12" s="53"/>
    </row>
    <row r="13" spans="1:7">
      <c r="A13" s="50" t="s">
        <v>35</v>
      </c>
      <c r="C13" s="51">
        <f>B7</f>
        <v>15</v>
      </c>
      <c r="E13" s="50" t="s">
        <v>35</v>
      </c>
      <c r="G13" s="54">
        <f>B7</f>
        <v>15</v>
      </c>
    </row>
    <row r="14" spans="1:7">
      <c r="A14" s="50"/>
      <c r="C14" s="51"/>
      <c r="E14" s="50"/>
      <c r="G14" s="54"/>
    </row>
    <row r="15" spans="1:7">
      <c r="A15" s="55" t="s">
        <v>39</v>
      </c>
      <c r="C15" s="51">
        <f ca="1">SUM(C16:C19)</f>
        <v>40.806404218632167</v>
      </c>
      <c r="E15" s="55" t="s">
        <v>39</v>
      </c>
      <c r="G15" s="54"/>
    </row>
    <row r="16" spans="1:7">
      <c r="A16" s="50" t="s">
        <v>22</v>
      </c>
      <c r="B16" s="56" t="s">
        <v>40</v>
      </c>
      <c r="C16" s="53">
        <f>IF(B16=C78,(C21*12.55%),0)</f>
        <v>0</v>
      </c>
      <c r="E16" s="50"/>
      <c r="G16" s="53"/>
    </row>
    <row r="17" spans="1:8">
      <c r="A17" s="50" t="s">
        <v>23</v>
      </c>
      <c r="B17" s="57" t="s">
        <v>41</v>
      </c>
      <c r="C17" s="53">
        <f ca="1">IF(B17=C88, 0, MAX(0,C21-175)*15.05%)</f>
        <v>38.647436237325664</v>
      </c>
      <c r="E17" s="50"/>
      <c r="G17" s="53"/>
    </row>
    <row r="18" spans="1:8">
      <c r="A18" s="50" t="s">
        <v>24</v>
      </c>
      <c r="B18" s="57" t="s">
        <v>17</v>
      </c>
      <c r="C18" s="58">
        <f>IF(B18=C74,(C21-123)*3%,0)</f>
        <v>0</v>
      </c>
      <c r="E18" s="50"/>
      <c r="G18" s="53"/>
    </row>
    <row r="19" spans="1:8">
      <c r="A19" s="50" t="s">
        <v>25</v>
      </c>
      <c r="B19" s="57" t="s">
        <v>8</v>
      </c>
      <c r="C19" s="53">
        <f ca="1">IF(B19=C74,(C21)*0.5%,0)</f>
        <v>2.1589679813065006</v>
      </c>
      <c r="E19" s="50"/>
      <c r="G19" s="53"/>
    </row>
    <row r="20" spans="1:8">
      <c r="A20" s="50"/>
      <c r="B20" s="59"/>
      <c r="C20" s="53"/>
      <c r="E20" s="50"/>
      <c r="G20" s="53"/>
    </row>
    <row r="21" spans="1:8">
      <c r="A21" s="55" t="s">
        <v>42</v>
      </c>
      <c r="C21" s="51">
        <f ca="1">C11-C13-C15</f>
        <v>431.7935957813678</v>
      </c>
      <c r="E21" s="55" t="s">
        <v>42</v>
      </c>
      <c r="G21" s="51">
        <f>G11-G13</f>
        <v>472.59999999999997</v>
      </c>
      <c r="H21" s="42" t="s">
        <v>15</v>
      </c>
    </row>
    <row r="22" spans="1:8">
      <c r="A22" s="50" t="s">
        <v>43</v>
      </c>
      <c r="C22" s="53">
        <f ca="1">(C21-242)*20%</f>
        <v>37.95871915627356</v>
      </c>
      <c r="E22" s="60" t="s">
        <v>44</v>
      </c>
      <c r="F22" s="61" t="s">
        <v>8</v>
      </c>
      <c r="G22" s="52">
        <f>IF(F22=C74,(G21*20%), 0)</f>
        <v>94.52</v>
      </c>
    </row>
    <row r="23" spans="1:8">
      <c r="A23" s="50" t="s">
        <v>45</v>
      </c>
      <c r="C23" s="53">
        <f ca="1">(C21-184)*12%</f>
        <v>29.735231493764136</v>
      </c>
      <c r="E23" s="62"/>
      <c r="F23" s="63"/>
      <c r="G23" s="64"/>
    </row>
    <row r="24" spans="1:8">
      <c r="A24" s="60" t="s">
        <v>46</v>
      </c>
      <c r="B24" s="65"/>
      <c r="C24" s="58">
        <f>IF(B18=C74,(C21-123)*4%,0)</f>
        <v>0</v>
      </c>
      <c r="E24" s="50"/>
      <c r="G24" s="53"/>
    </row>
    <row r="25" spans="1:8">
      <c r="A25" s="55" t="s">
        <v>15</v>
      </c>
      <c r="B25" s="44"/>
      <c r="C25" s="53" t="s">
        <v>15</v>
      </c>
      <c r="E25" s="50"/>
      <c r="G25" s="53"/>
    </row>
    <row r="26" spans="1:8" ht="15" thickBot="1">
      <c r="A26" s="55" t="s">
        <v>47</v>
      </c>
      <c r="B26" s="44"/>
      <c r="C26" s="66">
        <f ca="1">C21-C22-C23-C24</f>
        <v>364.09964513133008</v>
      </c>
      <c r="E26" s="67" t="s">
        <v>47</v>
      </c>
      <c r="F26" s="68"/>
      <c r="G26" s="69">
        <f>G21-G22</f>
        <v>378.08</v>
      </c>
    </row>
    <row r="27" spans="1:8">
      <c r="A27" s="50" t="s">
        <v>48</v>
      </c>
      <c r="C27" s="53">
        <f ca="1">IF(B16=C79,(C21/112.55*12.55),0)</f>
        <v>48.14757554025914</v>
      </c>
    </row>
    <row r="28" spans="1:8">
      <c r="A28" s="50" t="s">
        <v>49</v>
      </c>
      <c r="C28" s="53">
        <f>IF(B16=C78,(C21*12.55%),0)</f>
        <v>0</v>
      </c>
    </row>
    <row r="29" spans="1:8">
      <c r="A29" s="50" t="s">
        <v>15</v>
      </c>
      <c r="C29" s="53" t="s">
        <v>15</v>
      </c>
    </row>
    <row r="30" spans="1:8" ht="15" thickBot="1">
      <c r="A30" s="70" t="s">
        <v>50</v>
      </c>
      <c r="B30" s="71"/>
      <c r="C30" s="72">
        <f ca="1">(C21-C27)/B6</f>
        <v>9.5911505060277165</v>
      </c>
    </row>
    <row r="31" spans="1:8">
      <c r="E31" s="73" t="s">
        <v>15</v>
      </c>
      <c r="F31" s="40"/>
      <c r="G31" s="74"/>
    </row>
    <row r="32" spans="1:8">
      <c r="B32" s="42" t="s">
        <v>15</v>
      </c>
      <c r="C32" s="43" t="s">
        <v>15</v>
      </c>
    </row>
    <row r="34" spans="2:7">
      <c r="B34" s="42" t="s">
        <v>15</v>
      </c>
      <c r="C34" s="43" t="s">
        <v>15</v>
      </c>
      <c r="E34" s="75" t="s">
        <v>15</v>
      </c>
    </row>
    <row r="38" spans="2:7">
      <c r="G38" s="76"/>
    </row>
    <row r="57" spans="1:6">
      <c r="A57" s="77"/>
      <c r="B57" s="77"/>
      <c r="C57" s="78"/>
      <c r="D57" s="77"/>
      <c r="E57" s="77"/>
      <c r="F57" s="77"/>
    </row>
    <row r="58" spans="1:6">
      <c r="A58" s="77"/>
      <c r="B58" s="77"/>
      <c r="C58" s="78"/>
      <c r="D58" s="77" t="s">
        <v>28</v>
      </c>
      <c r="E58" s="77"/>
      <c r="F58" s="77"/>
    </row>
    <row r="59" spans="1:6">
      <c r="A59" s="77"/>
      <c r="B59" s="77"/>
      <c r="C59" s="78" t="s">
        <v>15</v>
      </c>
      <c r="D59" s="79" t="s">
        <v>15</v>
      </c>
      <c r="E59" s="77" t="s">
        <v>51</v>
      </c>
      <c r="F59" s="77"/>
    </row>
    <row r="60" spans="1:6">
      <c r="A60" s="77">
        <v>1</v>
      </c>
      <c r="B60" s="77"/>
      <c r="C60" s="78" t="s">
        <v>29</v>
      </c>
      <c r="D60" s="79">
        <v>8.2100000000000009</v>
      </c>
      <c r="E60" s="79" t="s">
        <v>15</v>
      </c>
      <c r="F60" s="79"/>
    </row>
    <row r="61" spans="1:6">
      <c r="A61" s="77">
        <v>2</v>
      </c>
      <c r="B61" s="77"/>
      <c r="C61" s="78" t="s">
        <v>30</v>
      </c>
      <c r="D61" s="79">
        <v>7.7</v>
      </c>
      <c r="E61" s="79">
        <v>8.2100000000000009</v>
      </c>
      <c r="F61" s="79"/>
    </row>
    <row r="62" spans="1:6">
      <c r="A62" s="77">
        <v>3</v>
      </c>
      <c r="B62" s="77"/>
      <c r="C62" s="78" t="s">
        <v>31</v>
      </c>
      <c r="D62" s="79">
        <v>6.15</v>
      </c>
      <c r="E62" s="79">
        <v>7.7</v>
      </c>
      <c r="F62" s="79"/>
    </row>
    <row r="63" spans="1:6">
      <c r="A63" s="77"/>
      <c r="B63" s="77"/>
      <c r="C63" s="78"/>
      <c r="D63" s="77"/>
      <c r="E63" s="79">
        <v>6.15</v>
      </c>
      <c r="F63" s="79"/>
    </row>
    <row r="64" spans="1:6">
      <c r="A64" s="77"/>
      <c r="B64" s="77"/>
      <c r="C64" s="78">
        <v>4</v>
      </c>
      <c r="D64" s="77">
        <f>VLOOKUP(C64,A65:C71,2,FALSE)</f>
        <v>0</v>
      </c>
      <c r="E64" s="77"/>
      <c r="F64" s="77"/>
    </row>
    <row r="65" spans="1:6">
      <c r="A65" s="77">
        <v>1</v>
      </c>
      <c r="B65" s="77"/>
      <c r="C65" s="78">
        <v>30</v>
      </c>
      <c r="D65" s="77"/>
      <c r="E65" s="77"/>
      <c r="F65" s="77"/>
    </row>
    <row r="66" spans="1:6">
      <c r="A66" s="77">
        <v>2</v>
      </c>
      <c r="B66" s="77"/>
      <c r="C66" s="78">
        <v>25</v>
      </c>
      <c r="D66" s="77"/>
      <c r="E66" s="77"/>
      <c r="F66" s="77"/>
    </row>
    <row r="67" spans="1:6">
      <c r="A67" s="77">
        <v>3</v>
      </c>
      <c r="B67" s="77"/>
      <c r="C67" s="78">
        <v>20</v>
      </c>
      <c r="D67" s="77"/>
      <c r="E67" s="77"/>
      <c r="F67" s="77"/>
    </row>
    <row r="68" spans="1:6">
      <c r="A68" s="77">
        <v>4</v>
      </c>
      <c r="B68" s="77"/>
      <c r="C68" s="78">
        <v>17.5</v>
      </c>
      <c r="D68" s="77"/>
      <c r="E68" s="77"/>
      <c r="F68" s="77"/>
    </row>
    <row r="69" spans="1:6">
      <c r="A69" s="77">
        <v>5</v>
      </c>
      <c r="B69" s="77"/>
      <c r="C69" s="78">
        <v>16.989999999999998</v>
      </c>
      <c r="D69" s="77"/>
      <c r="E69" s="77"/>
      <c r="F69" s="77"/>
    </row>
    <row r="70" spans="1:6">
      <c r="A70" s="77">
        <v>6</v>
      </c>
      <c r="B70" s="77"/>
      <c r="C70" s="78">
        <v>15</v>
      </c>
      <c r="D70" s="77"/>
      <c r="E70" s="77"/>
      <c r="F70" s="77"/>
    </row>
    <row r="71" spans="1:6">
      <c r="A71" s="77">
        <v>7</v>
      </c>
      <c r="B71" s="77"/>
      <c r="C71" s="78">
        <v>10</v>
      </c>
      <c r="D71" s="77"/>
      <c r="E71" s="77"/>
      <c r="F71" s="77"/>
    </row>
    <row r="72" spans="1:6">
      <c r="A72" s="77">
        <v>8</v>
      </c>
      <c r="B72" s="77"/>
      <c r="C72" s="78">
        <v>5</v>
      </c>
      <c r="D72" s="77"/>
      <c r="E72" s="77"/>
      <c r="F72" s="77"/>
    </row>
    <row r="73" spans="1:6">
      <c r="A73" s="77"/>
      <c r="B73" s="77"/>
      <c r="C73" s="78"/>
      <c r="D73" s="77"/>
      <c r="E73" s="77"/>
      <c r="F73" s="77"/>
    </row>
    <row r="74" spans="1:6">
      <c r="A74" s="77" t="s">
        <v>32</v>
      </c>
      <c r="B74" s="77"/>
      <c r="C74" s="78" t="s">
        <v>8</v>
      </c>
      <c r="D74" s="77"/>
      <c r="E74" s="77"/>
      <c r="F74" s="77"/>
    </row>
    <row r="75" spans="1:6">
      <c r="A75" s="77"/>
      <c r="B75" s="77"/>
      <c r="C75" s="78" t="s">
        <v>17</v>
      </c>
      <c r="D75" s="77"/>
      <c r="E75" s="77"/>
      <c r="F75" s="77"/>
    </row>
    <row r="76" spans="1:6">
      <c r="A76" s="77" t="s">
        <v>11</v>
      </c>
      <c r="B76" s="77"/>
      <c r="C76" s="78" t="s">
        <v>8</v>
      </c>
      <c r="D76" s="77"/>
      <c r="E76" s="77"/>
      <c r="F76" s="77"/>
    </row>
    <row r="77" spans="1:6">
      <c r="A77" s="77"/>
      <c r="B77" s="77"/>
      <c r="C77" s="78" t="s">
        <v>17</v>
      </c>
      <c r="D77" s="77"/>
      <c r="E77" s="77"/>
      <c r="F77" s="77"/>
    </row>
    <row r="78" spans="1:6">
      <c r="A78" s="77"/>
      <c r="B78" s="77"/>
      <c r="C78" s="78" t="s">
        <v>52</v>
      </c>
      <c r="D78" s="77"/>
      <c r="E78" s="77"/>
      <c r="F78" s="77"/>
    </row>
    <row r="79" spans="1:6">
      <c r="A79" s="77"/>
      <c r="B79" s="77"/>
      <c r="C79" s="78" t="s">
        <v>40</v>
      </c>
      <c r="D79" s="77"/>
      <c r="E79" s="77"/>
      <c r="F79" s="77"/>
    </row>
    <row r="80" spans="1:6">
      <c r="A80" s="77"/>
      <c r="B80" s="77"/>
      <c r="C80" s="78" t="s">
        <v>53</v>
      </c>
      <c r="D80" s="77"/>
      <c r="E80" s="77"/>
      <c r="F80" s="77"/>
    </row>
    <row r="81" spans="1:6">
      <c r="A81" s="77"/>
      <c r="B81" s="77"/>
      <c r="C81" s="78" t="s">
        <v>54</v>
      </c>
      <c r="D81" s="77"/>
      <c r="E81" s="77"/>
      <c r="F81" s="77"/>
    </row>
    <row r="82" spans="1:6">
      <c r="A82" s="77"/>
      <c r="B82" s="77"/>
      <c r="C82" s="78" t="s">
        <v>55</v>
      </c>
      <c r="D82" s="77"/>
      <c r="E82" s="77"/>
      <c r="F82" s="77"/>
    </row>
    <row r="83" spans="1:6">
      <c r="A83" s="77"/>
      <c r="B83" s="77"/>
      <c r="C83" s="78"/>
      <c r="D83" s="77"/>
      <c r="E83" s="77"/>
      <c r="F83" s="77"/>
    </row>
    <row r="84" spans="1:6">
      <c r="A84" s="77"/>
      <c r="B84" s="77"/>
      <c r="C84" s="78"/>
      <c r="D84" s="77"/>
      <c r="E84" s="77"/>
      <c r="F84" s="77"/>
    </row>
    <row r="85" spans="1:6">
      <c r="A85" s="77"/>
      <c r="B85" s="77"/>
      <c r="C85" s="78"/>
      <c r="D85" s="77"/>
      <c r="E85" s="77"/>
      <c r="F85" s="77"/>
    </row>
    <row r="86" spans="1:6">
      <c r="A86" s="77"/>
      <c r="B86" s="77"/>
      <c r="C86" s="78" t="s">
        <v>56</v>
      </c>
      <c r="D86" s="77"/>
      <c r="E86" s="77"/>
      <c r="F86" s="77"/>
    </row>
    <row r="87" spans="1:6">
      <c r="A87" s="77"/>
      <c r="B87" s="77"/>
      <c r="C87" s="78" t="s">
        <v>57</v>
      </c>
      <c r="D87" s="77"/>
      <c r="E87" s="77"/>
      <c r="F87" s="77"/>
    </row>
    <row r="88" spans="1:6">
      <c r="A88" s="77"/>
      <c r="B88" s="77"/>
      <c r="C88" s="78" t="s">
        <v>16</v>
      </c>
      <c r="D88" s="77"/>
      <c r="E88" s="77"/>
      <c r="F88" s="77"/>
    </row>
    <row r="89" spans="1:6">
      <c r="A89" s="77"/>
      <c r="B89" s="77"/>
      <c r="C89" s="78" t="s">
        <v>41</v>
      </c>
      <c r="D89" s="77"/>
      <c r="E89" s="77"/>
      <c r="F89" s="77"/>
    </row>
    <row r="90" spans="1:6">
      <c r="A90" s="77"/>
      <c r="B90" s="77"/>
      <c r="C90" s="78"/>
      <c r="D90" s="77"/>
      <c r="E90" s="77"/>
      <c r="F90" s="77"/>
    </row>
    <row r="91" spans="1:6">
      <c r="A91" s="77"/>
      <c r="B91" s="77"/>
      <c r="C91" s="78"/>
      <c r="D91" s="77"/>
      <c r="E91" s="77"/>
      <c r="F91" s="77"/>
    </row>
    <row r="92" spans="1:6">
      <c r="A92" s="77"/>
      <c r="B92" s="77"/>
      <c r="C92" s="78"/>
      <c r="D92" s="77"/>
      <c r="E92" s="77"/>
      <c r="F92" s="77"/>
    </row>
  </sheetData>
  <sheetProtection algorithmName="SHA-512" hashValue="h3GLffLFLp18CW1WFvP/Vtld1csRyv3lG2zAY5Fv8xLVI8MxU0l5PSoAOrz03d/hOL+OYkey7zCxaQJfdYQlLw==" saltValue="Wz9wiTPijgRLWjQ0mCu5OQ==" spinCount="100000" sheet="1" selectLockedCells="1"/>
  <dataValidations count="8">
    <dataValidation type="list" allowBlank="1" showInputMessage="1" showErrorMessage="1" sqref="B19:B20" xr:uid="{B0AE2B04-6B94-46AC-AF8E-D290E973E6DF}">
      <formula1>$C$76:$C$77</formula1>
    </dataValidation>
    <dataValidation type="list" allowBlank="1" showInputMessage="1" showErrorMessage="1" sqref="G18:G20 G12" xr:uid="{ACA72BDD-40D6-41E3-891B-B8ECE68560F4}">
      <formula1>$C$74:$C$75</formula1>
    </dataValidation>
    <dataValidation allowBlank="1" showInputMessage="1" showErrorMessage="1" promptTitle="Gross rate" prompt="Input Umbrella rate" sqref="B5" xr:uid="{D96EBD8B-49C4-4CBA-A1DC-87E8850916E2}"/>
    <dataValidation type="list" allowBlank="1" showInputMessage="1" showErrorMessage="1" promptTitle="Under 21?" prompt="ERs NI not applicable" sqref="B17" xr:uid="{8DBF141D-ABA0-42CA-AD2C-F0C0AD1C122F}">
      <formula1>$C$88:$C$89</formula1>
    </dataValidation>
    <dataValidation type="list" allowBlank="1" showInputMessage="1" showErrorMessage="1" sqref="B16" xr:uid="{9ED0874D-4BFC-4780-91D5-6A6CE6C91718}">
      <formula1>$C$78:$C$80</formula1>
    </dataValidation>
    <dataValidation allowBlank="1" showInputMessage="1" showErrorMessage="1" promptTitle="Margin" prompt="Input Umbella company margin" sqref="B7" xr:uid="{74EE93DB-DF9C-491D-81B6-4FA0553FFE3C}"/>
    <dataValidation type="list" allowBlank="1" showInputMessage="1" showErrorMessage="1" promptTitle="Pensions" prompt="N/A first 12 weeks" sqref="B18" xr:uid="{A25FD329-3DC7-4B35-873F-42DACC57117D}">
      <formula1>$C$74:$C$75</formula1>
    </dataValidation>
    <dataValidation type="list" allowBlank="1" showInputMessage="1" showErrorMessage="1" promptTitle="CIS" prompt="Subject to CIS?" sqref="F22" xr:uid="{980D8CF2-0AE6-4BB6-B6BC-503F35C4D001}">
      <formula1>$C$74:$C$75</formula1>
    </dataValidation>
  </dataValidation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01498D35A9A48B376674AEFDA39F7" ma:contentTypeVersion="12" ma:contentTypeDescription="Create a new document." ma:contentTypeScope="" ma:versionID="feebc6def9bcac2ec9a8c6bc41e90ce7">
  <xsd:schema xmlns:xsd="http://www.w3.org/2001/XMLSchema" xmlns:xs="http://www.w3.org/2001/XMLSchema" xmlns:p="http://schemas.microsoft.com/office/2006/metadata/properties" xmlns:ns2="ddfa874b-fdf5-486f-bedf-11b991e82736" xmlns:ns3="a7484901-feea-4a07-8364-b9b001b2d5fb" targetNamespace="http://schemas.microsoft.com/office/2006/metadata/properties" ma:root="true" ma:fieldsID="fcc00a6ecd06985f752afa13b783e75a" ns2:_="" ns3:_="">
    <xsd:import namespace="ddfa874b-fdf5-486f-bedf-11b991e82736"/>
    <xsd:import namespace="a7484901-feea-4a07-8364-b9b001b2d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a874b-fdf5-486f-bedf-11b991e82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84901-feea-4a07-8364-b9b001b2d5f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036CD2-1285-45EC-97FF-DCA7AF141CBF}"/>
</file>

<file path=customXml/itemProps2.xml><?xml version="1.0" encoding="utf-8"?>
<ds:datastoreItem xmlns:ds="http://schemas.openxmlformats.org/officeDocument/2006/customXml" ds:itemID="{540306ED-0E89-43FC-B00D-20809D3C6298}"/>
</file>

<file path=customXml/itemProps3.xml><?xml version="1.0" encoding="utf-8"?>
<ds:datastoreItem xmlns:ds="http://schemas.openxmlformats.org/officeDocument/2006/customXml" ds:itemID="{DE6E0C85-DDFB-4012-9194-F089BA283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DALE SIMKISS</dc:creator>
  <cp:keywords/>
  <dc:description/>
  <cp:lastModifiedBy>Dale Simkiss | Omnia</cp:lastModifiedBy>
  <cp:revision/>
  <dcterms:created xsi:type="dcterms:W3CDTF">2017-01-27T10:10:11Z</dcterms:created>
  <dcterms:modified xsi:type="dcterms:W3CDTF">2022-03-11T09:53:12Z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0x010100CD001498D35A9A48B376674AEFDA39F7</vt:lpwstr>
  </property>
</Properties>
</file>